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-15" yWindow="45" windowWidth="12795" windowHeight="11640"/>
  </bookViews>
  <sheets>
    <sheet name="Feuil1" sheetId="1" r:id="rId1"/>
  </sheets>
  <calcPr calcId="125725"/>
</workbook>
</file>

<file path=xl/calcChain.xml><?xml version="1.0" encoding="utf-8"?>
<calcChain xmlns="http://schemas.openxmlformats.org/spreadsheetml/2006/main">
  <c r="B44" i="1"/>
  <c r="H14" l="1"/>
  <c r="H27"/>
  <c r="H28" s="1"/>
  <c r="B16"/>
  <c r="B17" s="1"/>
  <c r="B29"/>
  <c r="B12"/>
  <c r="E3"/>
  <c r="B49" l="1"/>
  <c r="B27" s="1"/>
  <c r="H30"/>
  <c r="H29" s="1"/>
  <c r="B18"/>
  <c r="B30"/>
  <c r="B31" s="1"/>
  <c r="B28"/>
  <c r="B35" s="1"/>
  <c r="B36" s="1"/>
  <c r="B45" s="1"/>
  <c r="B50" s="1"/>
</calcChain>
</file>

<file path=xl/sharedStrings.xml><?xml version="1.0" encoding="utf-8"?>
<sst xmlns="http://schemas.openxmlformats.org/spreadsheetml/2006/main" count="93" uniqueCount="81">
  <si>
    <t>K=</t>
  </si>
  <si>
    <t>Hz</t>
  </si>
  <si>
    <t>Fs</t>
  </si>
  <si>
    <t>Re</t>
  </si>
  <si>
    <t>ohms</t>
  </si>
  <si>
    <t>Qms</t>
  </si>
  <si>
    <t>cm</t>
  </si>
  <si>
    <t>Qes</t>
  </si>
  <si>
    <t>Qts</t>
  </si>
  <si>
    <t>Mms/d</t>
  </si>
  <si>
    <t>gr</t>
  </si>
  <si>
    <t>Sd</t>
  </si>
  <si>
    <t>litres</t>
  </si>
  <si>
    <t>Vb</t>
  </si>
  <si>
    <t>Cms</t>
  </si>
  <si>
    <t>Vas</t>
  </si>
  <si>
    <t>Vas*Qts2</t>
  </si>
  <si>
    <t>n =</t>
  </si>
  <si>
    <t>F-3</t>
  </si>
  <si>
    <t>Fb</t>
  </si>
  <si>
    <t>Cab</t>
  </si>
  <si>
    <t>Map</t>
  </si>
  <si>
    <t>Vas*Qts2’</t>
  </si>
  <si>
    <t>nO</t>
  </si>
  <si>
    <t>dB 1w/1m</t>
  </si>
  <si>
    <t>dB</t>
  </si>
  <si>
    <t>Width</t>
  </si>
  <si>
    <t>Height</t>
  </si>
  <si>
    <t>Quantity</t>
  </si>
  <si>
    <t>(best 5.7)</t>
  </si>
  <si>
    <t>L vent</t>
  </si>
  <si>
    <t>L’ vent</t>
  </si>
  <si>
    <t>S vent</t>
  </si>
  <si>
    <t>ONKEN CALCULATOR</t>
  </si>
  <si>
    <t xml:space="preserve">K= </t>
  </si>
  <si>
    <t>TS parameters</t>
  </si>
  <si>
    <t>Koïzumi factor</t>
  </si>
  <si>
    <t>After original research from M. Eijiro Koïzumi and Jacques Mahul and Jean Hiraga calculations.</t>
  </si>
  <si>
    <t>total Q of driver at Fs calculated by the software</t>
  </si>
  <si>
    <t>Rg</t>
  </si>
  <si>
    <t>total components resistance (xover coil, terminal, wire, amplifier, etc.)</t>
  </si>
  <si>
    <t>driver suspension compliance calculated by the software</t>
  </si>
  <si>
    <t>air volume driver compliance calculated by the software</t>
  </si>
  <si>
    <t>calculated by the software</t>
  </si>
  <si>
    <t>Onken alignment (best alignment = 5.7, Onken alignment = 6.34)</t>
  </si>
  <si>
    <t>Vent lenght</t>
  </si>
  <si>
    <t>Box and system response</t>
  </si>
  <si>
    <t>Total Box Volume</t>
  </si>
  <si>
    <t>Vent volume</t>
  </si>
  <si>
    <t>effective lenght vent</t>
  </si>
  <si>
    <t>corrected effective vent lenght (use this lenght in your vent calculation)</t>
  </si>
  <si>
    <t>indicate the width of one vent</t>
  </si>
  <si>
    <t>indicate the height of one vent</t>
  </si>
  <si>
    <t>total volume occupied by all vent in the box</t>
  </si>
  <si>
    <t>cm^2</t>
  </si>
  <si>
    <t>m^2</t>
  </si>
  <si>
    <r>
      <t>Vent dimension</t>
    </r>
    <r>
      <rPr>
        <b/>
        <sz val="9"/>
        <color indexed="9"/>
        <rFont val="Arial"/>
      </rPr>
      <t xml:space="preserve"> (habitually an Onken speaker have a S vent equal or -15 % smaller to the driver Sd)</t>
    </r>
  </si>
  <si>
    <t>indicate the number of vent you can use (Onken speaker have 6 or 8 identical vent)</t>
  </si>
  <si>
    <t>total internal volume of the box</t>
  </si>
  <si>
    <t>total internal volume of the box plus the required volume for the vent</t>
  </si>
  <si>
    <t>total efficiency of the system including Rg</t>
  </si>
  <si>
    <t>by Cyr-Marc Debien 2000 © cdebien@cmaisonneuve.qc.ca</t>
  </si>
  <si>
    <t>Vb Total</t>
  </si>
  <si>
    <t>driver frequency resonnance</t>
  </si>
  <si>
    <t>dc resistance of driver</t>
  </si>
  <si>
    <t>mechanical Q of the driver</t>
  </si>
  <si>
    <t>electrical Q of the driver</t>
  </si>
  <si>
    <t>total cone assembly mass</t>
  </si>
  <si>
    <t>effective radiation area of the driver cone</t>
  </si>
  <si>
    <t>box cutoff frequency</t>
  </si>
  <si>
    <t>box cutoff frequency at -3dB</t>
  </si>
  <si>
    <t>You can modify the RED value. The Green Value are calculated by the software. In many case it's for validation.</t>
  </si>
  <si>
    <t>total vent area (try to obtain a S vent equal or maximum 15% less to the Sd)</t>
  </si>
  <si>
    <t>acoustical box compliance</t>
  </si>
  <si>
    <t>acoustical mass box</t>
  </si>
  <si>
    <t>note : If the L' vent is over 35 cm, your driver is not suitable for the Onken speaker application</t>
  </si>
  <si>
    <t>note : you can play with the n factor to maintain the L' vent under 30 cm</t>
  </si>
  <si>
    <t>but try to don't used a excessive value because you don' t respect the Onken approach</t>
  </si>
  <si>
    <t>this value is calculated by the vent dimension section</t>
  </si>
  <si>
    <t>cm2</t>
  </si>
  <si>
    <t>m2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</si>
</sst>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E+00"/>
    <numFmt numFmtId="166" formatCode="00.000"/>
  </numFmts>
  <fonts count="24">
    <font>
      <sz val="10"/>
      <name val="Geneva"/>
    </font>
    <font>
      <sz val="12"/>
      <name val="Arial"/>
    </font>
    <font>
      <b/>
      <sz val="12"/>
      <color indexed="12"/>
      <name val="Arial"/>
    </font>
    <font>
      <sz val="12"/>
      <color indexed="12"/>
      <name val="Arial"/>
    </font>
    <font>
      <b/>
      <sz val="12"/>
      <name val="Arial"/>
    </font>
    <font>
      <sz val="12"/>
      <color indexed="11"/>
      <name val="Arial"/>
    </font>
    <font>
      <sz val="12"/>
      <color indexed="10"/>
      <name val="Arial"/>
    </font>
    <font>
      <b/>
      <sz val="12"/>
      <color indexed="8"/>
      <name val="Arial"/>
    </font>
    <font>
      <sz val="12"/>
      <color indexed="8"/>
      <name val="Arial"/>
    </font>
    <font>
      <b/>
      <sz val="12"/>
      <color indexed="9"/>
      <name val="Arial"/>
    </font>
    <font>
      <sz val="10"/>
      <name val="Arial"/>
    </font>
    <font>
      <sz val="12"/>
      <color indexed="9"/>
      <name val="Arial"/>
    </font>
    <font>
      <b/>
      <sz val="16"/>
      <color indexed="9"/>
      <name val="Arial"/>
    </font>
    <font>
      <sz val="9"/>
      <color indexed="9"/>
      <name val="Arial"/>
    </font>
    <font>
      <sz val="10"/>
      <color indexed="9"/>
      <name val="Arial"/>
    </font>
    <font>
      <b/>
      <sz val="10"/>
      <color indexed="9"/>
      <name val="Arial"/>
    </font>
    <font>
      <sz val="9"/>
      <name val="Arial"/>
    </font>
    <font>
      <b/>
      <sz val="9"/>
      <color indexed="9"/>
      <name val="Arial"/>
    </font>
    <font>
      <i/>
      <sz val="9"/>
      <name val="Arial"/>
    </font>
    <font>
      <i/>
      <sz val="10"/>
      <color indexed="8"/>
      <name val="Arial"/>
    </font>
    <font>
      <b/>
      <sz val="9"/>
      <name val="Arial"/>
    </font>
    <font>
      <sz val="12"/>
      <color rgb="FF72AF2F"/>
      <name val="Arial"/>
      <family val="2"/>
    </font>
    <font>
      <sz val="12"/>
      <color rgb="FFFF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64" fontId="5" fillId="0" borderId="0" xfId="0" applyNumberFormat="1" applyFont="1" applyAlignment="1" applyProtection="1">
      <alignment horizontal="left"/>
    </xf>
    <xf numFmtId="0" fontId="11" fillId="2" borderId="0" xfId="0" applyFont="1" applyFill="1" applyProtection="1"/>
    <xf numFmtId="0" fontId="1" fillId="0" borderId="0" xfId="0" applyFont="1" applyProtection="1"/>
    <xf numFmtId="0" fontId="1" fillId="0" borderId="0" xfId="0" applyFont="1" applyFill="1" applyProtection="1"/>
    <xf numFmtId="0" fontId="7" fillId="0" borderId="0" xfId="0" applyFont="1" applyProtection="1"/>
    <xf numFmtId="0" fontId="7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left"/>
    </xf>
    <xf numFmtId="2" fontId="8" fillId="0" borderId="0" xfId="0" applyNumberFormat="1" applyFont="1" applyAlignment="1" applyProtection="1">
      <alignment horizontal="left"/>
    </xf>
    <xf numFmtId="0" fontId="7" fillId="0" borderId="0" xfId="0" applyFont="1" applyFill="1" applyBorder="1" applyProtection="1"/>
    <xf numFmtId="2" fontId="8" fillId="0" borderId="0" xfId="0" applyNumberFormat="1" applyFont="1" applyFill="1" applyBorder="1" applyProtection="1"/>
    <xf numFmtId="0" fontId="8" fillId="0" borderId="0" xfId="0" applyFont="1" applyProtection="1"/>
    <xf numFmtId="0" fontId="2" fillId="0" borderId="0" xfId="0" applyFont="1" applyProtection="1"/>
    <xf numFmtId="0" fontId="3" fillId="0" borderId="0" xfId="0" applyFont="1" applyAlignment="1" applyProtection="1">
      <alignment horizontal="left"/>
    </xf>
    <xf numFmtId="0" fontId="2" fillId="0" borderId="0" xfId="0" applyFont="1" applyFill="1" applyBorder="1" applyProtection="1"/>
    <xf numFmtId="164" fontId="3" fillId="0" borderId="0" xfId="0" applyNumberFormat="1" applyFont="1" applyFill="1" applyBorder="1" applyAlignment="1" applyProtection="1">
      <alignment horizontal="left"/>
    </xf>
    <xf numFmtId="0" fontId="4" fillId="0" borderId="0" xfId="0" applyFont="1" applyProtection="1"/>
    <xf numFmtId="2" fontId="5" fillId="0" borderId="0" xfId="0" applyNumberFormat="1" applyFont="1" applyAlignment="1" applyProtection="1">
      <alignment horizontal="left"/>
    </xf>
    <xf numFmtId="2" fontId="3" fillId="0" borderId="0" xfId="0" applyNumberFormat="1" applyFont="1" applyFill="1" applyBorder="1" applyProtection="1"/>
    <xf numFmtId="0" fontId="5" fillId="0" borderId="0" xfId="0" applyFont="1" applyAlignment="1" applyProtection="1">
      <alignment horizontal="left"/>
    </xf>
    <xf numFmtId="0" fontId="16" fillId="0" borderId="0" xfId="0" applyFont="1" applyProtection="1"/>
    <xf numFmtId="0" fontId="10" fillId="0" borderId="0" xfId="0" applyFont="1" applyProtection="1"/>
    <xf numFmtId="166" fontId="5" fillId="0" borderId="0" xfId="0" applyNumberFormat="1" applyFont="1" applyAlignment="1" applyProtection="1">
      <alignment horizontal="left"/>
    </xf>
    <xf numFmtId="164" fontId="1" fillId="0" borderId="0" xfId="0" applyNumberFormat="1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Border="1" applyProtection="1"/>
    <xf numFmtId="11" fontId="5" fillId="0" borderId="0" xfId="0" applyNumberFormat="1" applyFont="1" applyAlignment="1" applyProtection="1">
      <alignment horizontal="left"/>
    </xf>
    <xf numFmtId="164" fontId="5" fillId="0" borderId="0" xfId="0" applyNumberFormat="1" applyFont="1" applyFill="1" applyAlignment="1" applyProtection="1">
      <alignment horizontal="left"/>
    </xf>
    <xf numFmtId="0" fontId="4" fillId="0" borderId="0" xfId="0" applyFont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left"/>
    </xf>
    <xf numFmtId="0" fontId="3" fillId="0" borderId="0" xfId="0" applyFont="1" applyProtection="1"/>
    <xf numFmtId="164" fontId="1" fillId="0" borderId="0" xfId="0" applyNumberFormat="1" applyFont="1" applyFill="1" applyBorder="1" applyProtection="1"/>
    <xf numFmtId="0" fontId="8" fillId="0" borderId="1" xfId="0" applyFont="1" applyFill="1" applyBorder="1" applyProtection="1"/>
    <xf numFmtId="0" fontId="8" fillId="0" borderId="0" xfId="0" applyFont="1" applyFill="1" applyBorder="1" applyProtection="1"/>
    <xf numFmtId="0" fontId="1" fillId="0" borderId="1" xfId="0" applyFont="1" applyFill="1" applyBorder="1" applyProtection="1"/>
    <xf numFmtId="0" fontId="4" fillId="0" borderId="1" xfId="0" applyFont="1" applyFill="1" applyBorder="1" applyProtection="1"/>
    <xf numFmtId="0" fontId="9" fillId="2" borderId="1" xfId="0" applyFont="1" applyFill="1" applyBorder="1" applyProtection="1"/>
    <xf numFmtId="164" fontId="11" fillId="2" borderId="0" xfId="0" applyNumberFormat="1" applyFont="1" applyFill="1" applyBorder="1" applyAlignment="1" applyProtection="1">
      <alignment horizontal="left"/>
    </xf>
    <xf numFmtId="0" fontId="11" fillId="2" borderId="0" xfId="0" applyFont="1" applyFill="1" applyBorder="1" applyProtection="1"/>
    <xf numFmtId="0" fontId="1" fillId="0" borderId="0" xfId="0" applyNumberFormat="1" applyFont="1" applyFill="1" applyBorder="1" applyProtection="1"/>
    <xf numFmtId="0" fontId="18" fillId="0" borderId="0" xfId="0" applyFont="1" applyProtection="1"/>
    <xf numFmtId="0" fontId="19" fillId="0" borderId="0" xfId="0" applyFont="1" applyProtection="1"/>
    <xf numFmtId="0" fontId="19" fillId="0" borderId="0" xfId="0" applyFont="1" applyAlignment="1" applyProtection="1">
      <alignment horizontal="right"/>
    </xf>
    <xf numFmtId="0" fontId="19" fillId="0" borderId="0" xfId="0" applyFont="1" applyAlignment="1" applyProtection="1">
      <alignment horizontal="left"/>
    </xf>
    <xf numFmtId="2" fontId="19" fillId="0" borderId="0" xfId="0" applyNumberFormat="1" applyFont="1" applyAlignment="1" applyProtection="1">
      <alignment horizontal="left"/>
    </xf>
    <xf numFmtId="0" fontId="19" fillId="0" borderId="0" xfId="0" applyFont="1" applyFill="1" applyBorder="1" applyProtection="1"/>
    <xf numFmtId="2" fontId="19" fillId="0" borderId="0" xfId="0" applyNumberFormat="1" applyFont="1" applyFill="1" applyBorder="1" applyProtection="1"/>
    <xf numFmtId="164" fontId="8" fillId="0" borderId="0" xfId="0" applyNumberFormat="1" applyFont="1" applyFill="1" applyBorder="1" applyAlignment="1" applyProtection="1">
      <alignment horizontal="left"/>
    </xf>
    <xf numFmtId="164" fontId="19" fillId="0" borderId="0" xfId="0" applyNumberFormat="1" applyFont="1" applyFill="1" applyBorder="1" applyAlignment="1" applyProtection="1">
      <alignment horizontal="left"/>
    </xf>
    <xf numFmtId="0" fontId="8" fillId="0" borderId="2" xfId="0" applyFont="1" applyBorder="1" applyAlignment="1" applyProtection="1">
      <alignment horizontal="left"/>
    </xf>
    <xf numFmtId="164" fontId="8" fillId="0" borderId="2" xfId="0" applyNumberFormat="1" applyFont="1" applyFill="1" applyBorder="1" applyAlignment="1" applyProtection="1">
      <alignment horizontal="left"/>
    </xf>
    <xf numFmtId="0" fontId="8" fillId="0" borderId="3" xfId="0" applyFont="1" applyBorder="1" applyProtection="1"/>
    <xf numFmtId="0" fontId="8" fillId="0" borderId="2" xfId="0" applyFont="1" applyBorder="1" applyAlignment="1" applyProtection="1">
      <alignment horizontal="right"/>
    </xf>
    <xf numFmtId="0" fontId="8" fillId="0" borderId="2" xfId="0" applyFont="1" applyFill="1" applyBorder="1" applyProtection="1"/>
    <xf numFmtId="0" fontId="8" fillId="0" borderId="4" xfId="0" applyFont="1" applyFill="1" applyBorder="1" applyProtection="1"/>
    <xf numFmtId="0" fontId="16" fillId="0" borderId="0" xfId="0" applyFont="1" applyFill="1" applyBorder="1" applyProtection="1"/>
    <xf numFmtId="164" fontId="11" fillId="0" borderId="0" xfId="0" applyNumberFormat="1" applyFont="1" applyFill="1" applyBorder="1" applyAlignment="1" applyProtection="1">
      <alignment horizontal="left"/>
    </xf>
    <xf numFmtId="0" fontId="20" fillId="0" borderId="0" xfId="0" applyFont="1" applyFill="1" applyBorder="1" applyProtection="1"/>
    <xf numFmtId="0" fontId="9" fillId="0" borderId="0" xfId="0" applyFont="1" applyFill="1" applyBorder="1" applyProtection="1"/>
    <xf numFmtId="164" fontId="1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Border="1" applyProtection="1"/>
    <xf numFmtId="164" fontId="6" fillId="0" borderId="0" xfId="0" applyNumberFormat="1" applyFont="1" applyAlignment="1" applyProtection="1">
      <alignment horizontal="left"/>
      <protection locked="0"/>
    </xf>
    <xf numFmtId="165" fontId="6" fillId="0" borderId="0" xfId="0" applyNumberFormat="1" applyFont="1" applyFill="1" applyAlignment="1" applyProtection="1">
      <alignment horizontal="left"/>
      <protection locked="0"/>
    </xf>
    <xf numFmtId="164" fontId="6" fillId="0" borderId="0" xfId="0" applyNumberFormat="1" applyFont="1" applyFill="1" applyBorder="1" applyAlignment="1" applyProtection="1">
      <alignment horizontal="left"/>
      <protection locked="0"/>
    </xf>
    <xf numFmtId="164" fontId="6" fillId="0" borderId="0" xfId="0" applyNumberFormat="1" applyFont="1" applyFill="1" applyAlignment="1" applyProtection="1">
      <alignment horizontal="left"/>
      <protection locked="0"/>
    </xf>
    <xf numFmtId="0" fontId="9" fillId="3" borderId="0" xfId="0" applyFont="1" applyFill="1" applyProtection="1"/>
    <xf numFmtId="0" fontId="11" fillId="3" borderId="0" xfId="0" applyFont="1" applyFill="1" applyProtection="1"/>
    <xf numFmtId="0" fontId="4" fillId="3" borderId="0" xfId="0" applyFont="1" applyFill="1" applyProtection="1"/>
    <xf numFmtId="0" fontId="1" fillId="3" borderId="0" xfId="0" applyFont="1" applyFill="1" applyProtection="1"/>
    <xf numFmtId="164" fontId="11" fillId="3" borderId="0" xfId="0" applyNumberFormat="1" applyFont="1" applyFill="1" applyAlignment="1" applyProtection="1">
      <alignment horizontal="left"/>
    </xf>
    <xf numFmtId="0" fontId="1" fillId="3" borderId="0" xfId="0" applyFont="1" applyFill="1" applyBorder="1" applyProtection="1"/>
    <xf numFmtId="0" fontId="9" fillId="3" borderId="0" xfId="0" applyFont="1" applyFill="1" applyAlignment="1" applyProtection="1">
      <alignment horizontal="left"/>
    </xf>
    <xf numFmtId="0" fontId="5" fillId="3" borderId="0" xfId="0" applyFont="1" applyFill="1" applyAlignment="1" applyProtection="1">
      <alignment horizontal="left"/>
    </xf>
    <xf numFmtId="0" fontId="12" fillId="3" borderId="0" xfId="0" applyFont="1" applyFill="1" applyProtection="1"/>
    <xf numFmtId="0" fontId="14" fillId="3" borderId="0" xfId="0" applyFont="1" applyFill="1" applyProtection="1"/>
    <xf numFmtId="0" fontId="13" fillId="3" borderId="0" xfId="0" applyFont="1" applyFill="1" applyProtection="1"/>
    <xf numFmtId="0" fontId="15" fillId="3" borderId="0" xfId="0" applyFont="1" applyFill="1" applyAlignment="1" applyProtection="1">
      <alignment vertical="center"/>
    </xf>
    <xf numFmtId="0" fontId="21" fillId="0" borderId="0" xfId="0" applyFont="1" applyProtection="1"/>
    <xf numFmtId="0" fontId="22" fillId="0" borderId="0" xfId="0" applyFont="1" applyProtection="1"/>
    <xf numFmtId="0" fontId="2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2AF2F"/>
      <color rgb="FF92D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topLeftCell="A28" workbookViewId="0">
      <selection activeCell="M13" sqref="M13"/>
    </sheetView>
  </sheetViews>
  <sheetFormatPr baseColWidth="10" defaultColWidth="10.7109375" defaultRowHeight="15"/>
  <cols>
    <col min="1" max="1" width="17.7109375" style="3" customWidth="1"/>
    <col min="2" max="2" width="15.28515625" style="3" customWidth="1"/>
    <col min="3" max="3" width="11.7109375" style="3" customWidth="1"/>
    <col min="4" max="4" width="14.42578125" style="3" customWidth="1"/>
    <col min="5" max="5" width="10.7109375" style="3" customWidth="1"/>
    <col min="6" max="6" width="7.28515625" style="3" customWidth="1"/>
    <col min="7" max="7" width="14.28515625" style="3" customWidth="1"/>
    <col min="8" max="8" width="17.140625" style="3" customWidth="1"/>
    <col min="9" max="9" width="7.28515625" style="3" customWidth="1"/>
    <col min="10" max="11" width="10.7109375" style="3"/>
    <col min="12" max="12" width="13" style="3" customWidth="1"/>
    <col min="13" max="16384" width="10.7109375" style="3"/>
  </cols>
  <sheetData>
    <row r="1" spans="1:13" ht="36.950000000000003" customHeight="1">
      <c r="A1" s="74" t="s">
        <v>33</v>
      </c>
      <c r="B1" s="67"/>
      <c r="C1" s="75" t="s">
        <v>61</v>
      </c>
      <c r="D1" s="67"/>
      <c r="E1" s="76"/>
      <c r="F1" s="67"/>
      <c r="G1" s="69"/>
      <c r="H1" s="69"/>
    </row>
    <row r="2" spans="1:13" s="4" customFormat="1" ht="18" customHeight="1">
      <c r="A2" s="77" t="s">
        <v>37</v>
      </c>
      <c r="B2" s="67"/>
      <c r="C2" s="67"/>
      <c r="D2" s="67"/>
      <c r="E2" s="67"/>
      <c r="F2" s="67"/>
      <c r="G2" s="69"/>
      <c r="H2" s="69"/>
    </row>
    <row r="3" spans="1:13" s="11" customFormat="1" ht="15.75">
      <c r="A3" s="52" t="s">
        <v>36</v>
      </c>
      <c r="B3" s="53" t="s">
        <v>34</v>
      </c>
      <c r="C3" s="50">
        <v>1.57</v>
      </c>
      <c r="D3" s="54" t="s">
        <v>0</v>
      </c>
      <c r="E3" s="51">
        <f>B8*C3</f>
        <v>38.465000000000003</v>
      </c>
      <c r="F3" s="55" t="s">
        <v>1</v>
      </c>
      <c r="G3" s="5"/>
      <c r="H3" s="8"/>
      <c r="I3" s="5"/>
      <c r="J3" s="9"/>
      <c r="K3" s="10"/>
      <c r="L3" s="9"/>
    </row>
    <row r="4" spans="1:13" s="11" customFormat="1" ht="15.75">
      <c r="A4" s="5"/>
      <c r="B4" s="6"/>
      <c r="C4" s="7"/>
      <c r="D4" s="9"/>
      <c r="E4" s="48"/>
      <c r="F4" s="9"/>
      <c r="G4" s="5"/>
      <c r="H4" s="8"/>
      <c r="I4" s="5"/>
      <c r="J4" s="9"/>
      <c r="K4" s="10"/>
      <c r="L4" s="9"/>
    </row>
    <row r="5" spans="1:13" s="42" customFormat="1" ht="12.75">
      <c r="A5" s="42" t="s">
        <v>71</v>
      </c>
      <c r="B5" s="43"/>
      <c r="C5" s="44"/>
      <c r="D5" s="46"/>
      <c r="E5" s="49"/>
      <c r="F5" s="46"/>
      <c r="H5" s="45"/>
      <c r="J5" s="46"/>
      <c r="K5" s="47"/>
      <c r="L5" s="46"/>
    </row>
    <row r="6" spans="1:13" ht="15.75">
      <c r="A6" s="12"/>
      <c r="B6" s="12"/>
      <c r="C6" s="13"/>
      <c r="D6" s="14"/>
      <c r="E6" s="15"/>
      <c r="F6" s="14"/>
      <c r="G6" s="16"/>
      <c r="H6" s="17"/>
      <c r="I6" s="16"/>
      <c r="J6" s="14"/>
      <c r="K6" s="18"/>
      <c r="L6" s="14"/>
    </row>
    <row r="7" spans="1:13" ht="15" customHeight="1">
      <c r="A7" s="66" t="s">
        <v>35</v>
      </c>
      <c r="B7" s="67"/>
      <c r="C7" s="67"/>
      <c r="D7" s="67"/>
      <c r="E7" s="67"/>
      <c r="F7" s="67"/>
      <c r="G7" s="68"/>
      <c r="H7" s="73"/>
      <c r="I7" s="16"/>
    </row>
    <row r="8" spans="1:13" ht="15.75">
      <c r="A8" s="3" t="s">
        <v>2</v>
      </c>
      <c r="B8" s="62">
        <v>24.5</v>
      </c>
      <c r="C8" s="3" t="s">
        <v>1</v>
      </c>
      <c r="D8" s="20" t="s">
        <v>63</v>
      </c>
      <c r="E8" s="21"/>
      <c r="F8" s="21"/>
      <c r="G8" s="16"/>
      <c r="H8" s="17"/>
      <c r="I8" s="16"/>
    </row>
    <row r="9" spans="1:13" ht="15.75">
      <c r="A9" s="3" t="s">
        <v>3</v>
      </c>
      <c r="B9" s="62">
        <v>5.9</v>
      </c>
      <c r="C9" s="3" t="s">
        <v>4</v>
      </c>
      <c r="D9" s="20" t="s">
        <v>64</v>
      </c>
      <c r="E9" s="21"/>
      <c r="F9" s="21"/>
      <c r="G9" s="16"/>
      <c r="H9" s="17"/>
      <c r="I9" s="16"/>
    </row>
    <row r="10" spans="1:13" ht="15.75">
      <c r="A10" s="3" t="s">
        <v>5</v>
      </c>
      <c r="B10" s="62">
        <v>6.5</v>
      </c>
      <c r="D10" s="20" t="s">
        <v>65</v>
      </c>
      <c r="E10" s="21"/>
      <c r="F10" s="21"/>
      <c r="G10" s="16"/>
      <c r="H10" s="22"/>
    </row>
    <row r="11" spans="1:13" ht="15.75">
      <c r="A11" s="3" t="s">
        <v>7</v>
      </c>
      <c r="B11" s="62">
        <v>0.3</v>
      </c>
      <c r="D11" s="20" t="s">
        <v>66</v>
      </c>
      <c r="E11" s="21"/>
      <c r="F11" s="21"/>
      <c r="G11" s="16"/>
      <c r="H11" s="1"/>
      <c r="K11" s="23"/>
    </row>
    <row r="12" spans="1:13" ht="15.75">
      <c r="A12" s="3" t="s">
        <v>8</v>
      </c>
      <c r="B12" s="1">
        <f>1/(1/B11+1/B10)</f>
        <v>0.28676470588235292</v>
      </c>
      <c r="D12" s="20" t="s">
        <v>38</v>
      </c>
      <c r="E12" s="21"/>
      <c r="F12" s="21"/>
      <c r="G12" s="16"/>
      <c r="H12" s="19"/>
      <c r="I12" s="16"/>
    </row>
    <row r="13" spans="1:13" ht="15.75">
      <c r="A13" s="3" t="s">
        <v>9</v>
      </c>
      <c r="B13" s="62">
        <v>58</v>
      </c>
      <c r="C13" s="24" t="s">
        <v>10</v>
      </c>
      <c r="D13" s="20" t="s">
        <v>67</v>
      </c>
      <c r="E13" s="21"/>
      <c r="F13" s="21"/>
      <c r="G13" s="16" t="s">
        <v>79</v>
      </c>
      <c r="H13" s="1" t="s">
        <v>80</v>
      </c>
      <c r="I13" s="16"/>
    </row>
    <row r="14" spans="1:13">
      <c r="A14" s="4" t="s">
        <v>11</v>
      </c>
      <c r="B14" s="63">
        <v>8.2500000000000004E-2</v>
      </c>
      <c r="C14" s="25" t="s">
        <v>55</v>
      </c>
      <c r="D14" s="20" t="s">
        <v>68</v>
      </c>
      <c r="E14" s="21"/>
      <c r="F14" s="21"/>
      <c r="G14" s="65">
        <v>881</v>
      </c>
      <c r="H14" s="23">
        <f>G14/100/100</f>
        <v>8.8100000000000012E-2</v>
      </c>
    </row>
    <row r="15" spans="1:13">
      <c r="A15" s="26" t="s">
        <v>39</v>
      </c>
      <c r="B15" s="64">
        <v>0.1</v>
      </c>
      <c r="C15" s="26" t="s">
        <v>4</v>
      </c>
      <c r="D15" s="20" t="s">
        <v>40</v>
      </c>
      <c r="E15" s="21"/>
      <c r="F15" s="21"/>
      <c r="K15" s="78"/>
      <c r="L15" s="79"/>
      <c r="M15" s="79"/>
    </row>
    <row r="16" spans="1:13">
      <c r="A16" s="3" t="s">
        <v>14</v>
      </c>
      <c r="B16" s="27">
        <f>(1/(((2*3.1416*B8)*(2*3.1416*B8))*B13))*1000</f>
        <v>7.2757550573752624E-4</v>
      </c>
      <c r="C16" s="24"/>
      <c r="D16" s="20" t="s">
        <v>41</v>
      </c>
      <c r="E16" s="21"/>
      <c r="F16" s="21"/>
    </row>
    <row r="17" spans="1:8">
      <c r="A17" s="3" t="s">
        <v>15</v>
      </c>
      <c r="B17" s="1">
        <f>((B16*(B14*B14))*((344.5*344.5)*1.18))*1000</f>
        <v>693.49993826490049</v>
      </c>
      <c r="C17" s="24" t="s">
        <v>12</v>
      </c>
      <c r="D17" s="20" t="s">
        <v>42</v>
      </c>
      <c r="E17" s="21"/>
      <c r="F17" s="21"/>
    </row>
    <row r="18" spans="1:8">
      <c r="A18" s="3" t="s">
        <v>16</v>
      </c>
      <c r="B18" s="1">
        <f>B17*(H28*H28)</f>
        <v>58.890745351930406</v>
      </c>
      <c r="D18" s="20" t="s">
        <v>43</v>
      </c>
    </row>
    <row r="19" spans="1:8">
      <c r="A19" s="3" t="s">
        <v>17</v>
      </c>
      <c r="B19" s="65">
        <v>6.34</v>
      </c>
      <c r="C19" s="24" t="s">
        <v>29</v>
      </c>
      <c r="D19" s="20" t="s">
        <v>44</v>
      </c>
    </row>
    <row r="20" spans="1:8">
      <c r="B20" s="28"/>
      <c r="C20" s="24"/>
      <c r="D20" s="20" t="s">
        <v>76</v>
      </c>
    </row>
    <row r="21" spans="1:8">
      <c r="B21" s="28"/>
      <c r="C21" s="24"/>
      <c r="D21" s="20" t="s">
        <v>77</v>
      </c>
    </row>
    <row r="22" spans="1:8">
      <c r="B22" s="28"/>
      <c r="C22" s="24"/>
      <c r="D22" s="20"/>
    </row>
    <row r="23" spans="1:8" ht="15.75">
      <c r="A23" s="16"/>
      <c r="B23" s="28"/>
      <c r="C23" s="29"/>
      <c r="D23" s="20"/>
    </row>
    <row r="24" spans="1:8" ht="15.75">
      <c r="A24" s="66" t="s">
        <v>46</v>
      </c>
      <c r="B24" s="70"/>
      <c r="C24" s="72"/>
      <c r="D24" s="66"/>
      <c r="E24" s="67"/>
      <c r="F24" s="67"/>
      <c r="G24" s="69"/>
      <c r="H24" s="69"/>
    </row>
    <row r="25" spans="1:8">
      <c r="A25" s="26" t="s">
        <v>18</v>
      </c>
      <c r="B25" s="30">
        <v>26</v>
      </c>
      <c r="C25" s="26" t="s">
        <v>1</v>
      </c>
      <c r="D25" s="20" t="s">
        <v>70</v>
      </c>
      <c r="E25" s="21"/>
      <c r="F25" s="21"/>
    </row>
    <row r="26" spans="1:8">
      <c r="A26" s="26" t="s">
        <v>19</v>
      </c>
      <c r="B26" s="30">
        <v>25</v>
      </c>
      <c r="C26" s="26" t="s">
        <v>1</v>
      </c>
      <c r="D26" s="20" t="s">
        <v>69</v>
      </c>
      <c r="F26" s="31"/>
    </row>
    <row r="27" spans="1:8">
      <c r="A27" s="26" t="s">
        <v>20</v>
      </c>
      <c r="B27" s="30">
        <f>(B49/(1.4))/10</f>
        <v>26.669094680802772</v>
      </c>
      <c r="D27" s="56" t="s">
        <v>73</v>
      </c>
      <c r="F27" s="26"/>
      <c r="H27" s="57">
        <f>(B9+B15)/B9*B11</f>
        <v>0.30508474576271183</v>
      </c>
    </row>
    <row r="28" spans="1:8">
      <c r="A28" s="26" t="s">
        <v>21</v>
      </c>
      <c r="B28" s="30">
        <f>POWER((POWER((2*PI()*B26),2)*B27),-1)*10000000</f>
        <v>15.196793870212902</v>
      </c>
      <c r="D28" s="56" t="s">
        <v>74</v>
      </c>
      <c r="F28" s="26"/>
      <c r="H28" s="57">
        <f>1/(1/H27+1/B10)</f>
        <v>0.29140722291407223</v>
      </c>
    </row>
    <row r="29" spans="1:8">
      <c r="A29" s="26" t="s">
        <v>32</v>
      </c>
      <c r="B29" s="30">
        <f>(B41*B42)*B43</f>
        <v>630.4</v>
      </c>
      <c r="C29" s="26" t="s">
        <v>54</v>
      </c>
      <c r="D29" s="58" t="s">
        <v>78</v>
      </c>
      <c r="F29" s="26"/>
      <c r="H29" s="57">
        <f>E15/H30</f>
        <v>0</v>
      </c>
    </row>
    <row r="30" spans="1:8" ht="15.75">
      <c r="A30" s="26" t="s">
        <v>23</v>
      </c>
      <c r="B30" s="30">
        <f>0.000000000964*B8^3*B17/B11</f>
        <v>3.2771812318499127E-2</v>
      </c>
      <c r="C30" s="26"/>
      <c r="D30" s="59" t="s">
        <v>22</v>
      </c>
      <c r="F30" s="26"/>
      <c r="H30" s="57">
        <f>B17*(H28*H28)</f>
        <v>58.890745351930406</v>
      </c>
    </row>
    <row r="31" spans="1:8">
      <c r="A31" s="26" t="s">
        <v>24</v>
      </c>
      <c r="B31" s="30">
        <f>112+10*LOG(B30)+20*LOG(B9/(B9+B15))</f>
        <v>97.009019815423443</v>
      </c>
      <c r="C31" s="26" t="s">
        <v>25</v>
      </c>
      <c r="D31" s="56" t="s">
        <v>60</v>
      </c>
      <c r="F31" s="26"/>
      <c r="H31" s="60"/>
    </row>
    <row r="32" spans="1:8" ht="15.75">
      <c r="D32" s="61"/>
      <c r="E32" s="60"/>
      <c r="F32" s="26"/>
    </row>
    <row r="33" spans="1:8" ht="15.75">
      <c r="A33" s="16"/>
      <c r="B33" s="1"/>
      <c r="C33" s="16"/>
      <c r="D33" s="61"/>
      <c r="E33" s="60"/>
      <c r="F33" s="26"/>
    </row>
    <row r="34" spans="1:8" ht="15.75">
      <c r="A34" s="66" t="s">
        <v>45</v>
      </c>
      <c r="B34" s="70"/>
      <c r="C34" s="66"/>
      <c r="D34" s="69"/>
      <c r="E34" s="69"/>
      <c r="F34" s="71"/>
      <c r="G34" s="69"/>
      <c r="H34" s="69"/>
    </row>
    <row r="35" spans="1:8">
      <c r="A35" s="26" t="s">
        <v>30</v>
      </c>
      <c r="B35" s="30">
        <f>((B28*B29)/1.293)/100</f>
        <v>74.091715821981552</v>
      </c>
      <c r="C35" s="26" t="s">
        <v>6</v>
      </c>
      <c r="D35" s="20" t="s">
        <v>49</v>
      </c>
    </row>
    <row r="36" spans="1:8">
      <c r="A36" s="26" t="s">
        <v>31</v>
      </c>
      <c r="B36" s="30">
        <f>B35-(1.4*(SQRT(B29/(2*3.1416))))</f>
        <v>60.068562062761636</v>
      </c>
      <c r="C36" s="26" t="s">
        <v>6</v>
      </c>
      <c r="D36" s="20" t="s">
        <v>50</v>
      </c>
    </row>
    <row r="37" spans="1:8">
      <c r="A37" s="26"/>
      <c r="B37" s="32"/>
      <c r="C37" s="26"/>
      <c r="D37" s="41" t="s">
        <v>75</v>
      </c>
    </row>
    <row r="38" spans="1:8">
      <c r="A38" s="26"/>
      <c r="B38" s="32"/>
      <c r="C38" s="26"/>
      <c r="D38" s="41"/>
    </row>
    <row r="40" spans="1:8" ht="15.75">
      <c r="A40" s="66" t="s">
        <v>56</v>
      </c>
      <c r="B40" s="67"/>
      <c r="C40" s="67"/>
      <c r="D40" s="68"/>
      <c r="E40" s="68"/>
      <c r="F40" s="68"/>
      <c r="G40" s="69"/>
      <c r="H40" s="69"/>
    </row>
    <row r="41" spans="1:8">
      <c r="A41" s="33" t="s">
        <v>26</v>
      </c>
      <c r="B41" s="64">
        <v>4</v>
      </c>
      <c r="C41" s="34" t="s">
        <v>6</v>
      </c>
      <c r="D41" s="20" t="s">
        <v>51</v>
      </c>
      <c r="E41" s="21"/>
    </row>
    <row r="42" spans="1:8">
      <c r="A42" s="33" t="s">
        <v>27</v>
      </c>
      <c r="B42" s="64">
        <v>19.7</v>
      </c>
      <c r="C42" s="34" t="s">
        <v>6</v>
      </c>
      <c r="D42" s="20" t="s">
        <v>52</v>
      </c>
    </row>
    <row r="43" spans="1:8">
      <c r="A43" s="35" t="s">
        <v>28</v>
      </c>
      <c r="B43" s="64">
        <v>8</v>
      </c>
      <c r="C43" s="26"/>
      <c r="D43" s="20" t="s">
        <v>57</v>
      </c>
    </row>
    <row r="44" spans="1:8">
      <c r="A44" s="35" t="s">
        <v>32</v>
      </c>
      <c r="B44" s="30">
        <f>B29</f>
        <v>630.4</v>
      </c>
      <c r="C44" s="26" t="s">
        <v>54</v>
      </c>
      <c r="D44" s="80" t="s">
        <v>72</v>
      </c>
    </row>
    <row r="45" spans="1:8">
      <c r="A45" s="35" t="s">
        <v>48</v>
      </c>
      <c r="B45" s="30">
        <f>(B29*B36)/1000</f>
        <v>37.867221524364936</v>
      </c>
      <c r="C45" s="26" t="s">
        <v>12</v>
      </c>
      <c r="D45" s="20" t="s">
        <v>53</v>
      </c>
    </row>
    <row r="46" spans="1:8" ht="15.75">
      <c r="A46" s="36"/>
      <c r="B46" s="30"/>
      <c r="C46" s="26"/>
      <c r="D46" s="20"/>
    </row>
    <row r="47" spans="1:8" ht="15.75">
      <c r="A47" s="36"/>
      <c r="B47" s="30"/>
      <c r="C47" s="26"/>
    </row>
    <row r="48" spans="1:8" ht="15.75">
      <c r="A48" s="37" t="s">
        <v>47</v>
      </c>
      <c r="B48" s="38"/>
      <c r="C48" s="39"/>
      <c r="D48" s="2"/>
      <c r="E48" s="2"/>
      <c r="F48" s="2"/>
    </row>
    <row r="49" spans="1:4">
      <c r="A49" s="40" t="s">
        <v>13</v>
      </c>
      <c r="B49" s="30">
        <f>B19*B17*(H28*H28)</f>
        <v>373.36732553123875</v>
      </c>
      <c r="C49" s="40" t="s">
        <v>12</v>
      </c>
      <c r="D49" s="20" t="s">
        <v>58</v>
      </c>
    </row>
    <row r="50" spans="1:4">
      <c r="A50" s="26" t="s">
        <v>62</v>
      </c>
      <c r="B50" s="30">
        <f>B45+B49</f>
        <v>411.23454705560368</v>
      </c>
      <c r="C50" s="26" t="s">
        <v>12</v>
      </c>
      <c r="D50" s="20" t="s">
        <v>59</v>
      </c>
    </row>
    <row r="51" spans="1:4">
      <c r="A51" s="21"/>
      <c r="B51" s="21"/>
      <c r="C51" s="21"/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Cyr-Marc</dc:creator>
  <cp:lastModifiedBy>Utilisateur</cp:lastModifiedBy>
  <dcterms:created xsi:type="dcterms:W3CDTF">2000-10-12T05:34:04Z</dcterms:created>
  <dcterms:modified xsi:type="dcterms:W3CDTF">2022-12-16T10:47:28Z</dcterms:modified>
</cp:coreProperties>
</file>